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<sst xmlns="http://schemas.openxmlformats.org/spreadsheetml/2006/main" count="1829" uniqueCount="278">
  <si>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</si>
  <si>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</si>
  <si>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</si>
  <si>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</si>
  <si>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</si>
  <si>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</si>
  <si>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</si>
  <si>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</si>
  <si>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</si>
  <si>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</si>
  <si>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</si>
  <si>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</si>
  <si>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</si>
  <si>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</si>
  <si>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</si>
  <si>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</si>
  <si>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</si>
  <si>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</si>
  <si>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</si>
  <si>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</si>
  <si>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</si>
  <si>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</si>
  <si>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</si>
  <si>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</si>
  <si>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</si>
  <si>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</si>
  <si>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</si>
  <si>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</si>
  <si>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</si>
  <si>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</si>
  <si>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</si>
  <si>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</si>
  <si>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</si>
  <si>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</si>
  <si>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</si>
  <si>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</si>
  <si>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</si>
  <si>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</si>
  <si>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</si>
  <si>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</si>
  <si>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</si>
  <si>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</si>
  <si>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</si>
  <si>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</si>
  <si>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</si>
  <si>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</si>
  <si>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</si>
  <si>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</si>
  <si>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</si>
  <si>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</si>
  <si>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</si>
  <si>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</si>
  <si>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</si>
  <si>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</si>
  <si>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</si>
  <si>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</si>
  <si>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</si>
  <si>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</si>
  <si>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</si>
  <si>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</si>
  <si>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</si>
  <si>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</si>
  <si>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</si>
  <si>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</si>
  <si>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</si>
  <si>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</si>
  <si>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</si>
  <si>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</si>
  <si>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</si>
  <si>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</si>
  <si>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</si>
  <si>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</si>
  <si>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</si>
  <si>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</si>
  <si>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</si>
  <si>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</si>
  <si>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</si>
  <si>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</si>
  <si>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</si>
  <si>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</si>
  <si>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</si>
  <si>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</si>
  <si>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</si>
  <si>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</si>
  <si>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</si>
  <si>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</si>
  <si>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</si>
  <si>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</si>
  <si>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</si>
  <si>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</si>
  <si>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</si>
  <si>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</si>
  <si>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</si>
  <si>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</si>
  <si>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</si>
  <si>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</si>
  <si>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</si>
  <si>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</si>
  <si>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</si>
  <si>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</si>
  <si>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</si>
  <si>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</si>
  <si>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</si>
  <si>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</si>
  <si>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</si>
  <si>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</si>
  <si>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</si>
  <si>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</si>
  <si>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</si>
  <si>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</si>
  <si>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</si>
  <si>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</si>
  <si>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</si>
  <si>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</si>
  <si>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</si>
  <si>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</si>
  <si>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</si>
  <si>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</si>
  <si>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</si>
  <si>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</si>
  <si>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</si>
  <si>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</si>
  <si>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</si>
  <si>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</si>
  <si>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</si>
  <si>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</si>
  <si>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</si>
  <si>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</si>
  <si>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</si>
  <si>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</si>
  <si>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</si>
  <si>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</si>
  <si>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</si>
  <si>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</si>
  <si>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</si>
  <si>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</si>
  <si>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</si>
  <si>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</si>
  <si>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</si>
  <si>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</si>
  <si>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</si>
  <si>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</si>
  <si>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</si>
  <si>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</si>
  <si>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</si>
  <si>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</si>
  <si>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</si>
  <si>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</si>
  <si>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</si>
  <si>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</si>
  <si>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</si>
  <si>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</si>
  <si>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</si>
  <si>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</si>
  <si>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</si>
  <si>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</si>
  <si>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</si>
  <si>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</si>
  <si>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</si>
  <si>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</si>
  <si>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</si>
  <si>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</si>
  <si>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</si>
  <si>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</si>
  <si>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</si>
  <si>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</si>
  <si>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</si>
  <si>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</si>
  <si>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</si>
  <si>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</si>
  <si>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</si>
  <si>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</si>
  <si>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</si>
  <si>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</si>
  <si>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</si>
  <si>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</si>
  <si>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</si>
  <si>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</si>
  <si>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</si>
  <si>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</si>
  <si>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</si>
  <si>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</si>
  <si>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</si>
  <si>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</si>
  <si>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</si>
  <si>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</si>
  <si>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</si>
  <si>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</si>
  <si>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</si>
  <si>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</si>
  <si>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</si>
  <si>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</si>
  <si>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</si>
  <si>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</si>
  <si>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</si>
  <si>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</si>
  <si>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</si>
  <si>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</si>
  <si>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</si>
  <si>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</si>
  <si>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</si>
  <si>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</si>
  <si>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</si>
  <si>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</si>
  <si>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</si>
  <si>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</si>
  <si>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</si>
  <si>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</si>
  <si>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</si>
  <si>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</si>
  <si>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</si>
  <si>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</si>
  <si>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</si>
  <si>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</si>
  <si>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</si>
  <si>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</si>
  <si>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</si>
  <si>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</si>
  <si>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</si>
  <si>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</si>
  <si>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</si>
  <si>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</si>
  <si>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</si>
  <si>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</si>
  <si>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</si>
  <si>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</si>
  <si>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</si>
  <si>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</si>
  <si>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</si>
  <si>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</si>
  <si>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</si>
  <si>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</si>
  <si>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</si>
  <si>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</si>
  <si>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</si>
  <si>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</si>
  <si>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</si>
  <si>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</si>
  <si>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</si>
  <si>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</si>
  <si>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</si>
  <si>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</si>
  <si>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</si>
  <si>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</si>
  <si>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</si>
  <si>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</si>
  <si>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</si>
  <si>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</si>
  <si>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</si>
  <si>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</si>
  <si>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</si>
  <si>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</si>
  <si>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</si>
  <si>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</si>
  <si>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</si>
  <si>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</si>
  <si>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</si>
  <si>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</si>
  <si>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</si>
  <si>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</si>
  <si>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</si>
  <si>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</si>
  <si>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</si>
  <si>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</si>
  <si>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</si>
  <si>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</si>
  <si>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</si>
  <si>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</si>
  <si>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</si>
  <si>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</si>
  <si>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</si>
  <si>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</si>
  <si>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</si>
  <si>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</si>
  <si>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</si>
  <si>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</si>
  <si>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</si>
  <si>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25.09.14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</si>
</sst>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6">
          <cell r="G6">
            <v>121153173.02</v>
          </cell>
        </row>
        <row r="8">
          <cell r="G8">
            <v>0</v>
          </cell>
        </row>
        <row r="9">
          <cell r="G9">
            <v>9020596.530000001</v>
          </cell>
        </row>
        <row r="10">
          <cell r="G10">
            <v>112132576.49</v>
          </cell>
        </row>
      </sheetData>
      <sheetData sheetId="13">
        <row r="52">
          <cell r="B52">
            <v>10635062.809999999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3" sqref="D14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337835.94999999995</v>
      </c>
      <c r="G8" s="22">
        <f aca="true" t="shared" si="0" ref="G8:G30">F8-E8</f>
        <v>-13522.849999999977</v>
      </c>
      <c r="H8" s="51">
        <f>F8/E8*100</f>
        <v>96.15127043922054</v>
      </c>
      <c r="I8" s="36">
        <f aca="true" t="shared" si="1" ref="I8:I17">F8-D8</f>
        <v>-150640.35000000003</v>
      </c>
      <c r="J8" s="36">
        <f aca="true" t="shared" si="2" ref="J8:J14">F8/D8*100</f>
        <v>69.16117527093945</v>
      </c>
      <c r="K8" s="36">
        <f>F8-344287.2</f>
        <v>-6451.250000000058</v>
      </c>
      <c r="L8" s="136">
        <f>F8/344287.2</f>
        <v>0.9812620103216151</v>
      </c>
      <c r="M8" s="22">
        <f>M10+M19+M33+M56+M68+M30</f>
        <v>39345.409999999996</v>
      </c>
      <c r="N8" s="22">
        <f>N10+N19+N33+N56+N68+N30</f>
        <v>28900.179999999997</v>
      </c>
      <c r="O8" s="36">
        <f aca="true" t="shared" si="3" ref="O8:O71">N8-M8</f>
        <v>-10445.23</v>
      </c>
      <c r="P8" s="36">
        <f>F8/M8*100</f>
        <v>858.6413256336634</v>
      </c>
      <c r="Q8" s="36">
        <f>N8-37510.4</f>
        <v>-8610.220000000005</v>
      </c>
      <c r="R8" s="134">
        <f>N8/37510.4</f>
        <v>0.7704577930387305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276180.8</v>
      </c>
      <c r="G9" s="22">
        <f t="shared" si="0"/>
        <v>276180.8</v>
      </c>
      <c r="H9" s="20"/>
      <c r="I9" s="56">
        <f t="shared" si="1"/>
        <v>-110832.40000000002</v>
      </c>
      <c r="J9" s="56">
        <f t="shared" si="2"/>
        <v>71.36211374702465</v>
      </c>
      <c r="K9" s="56"/>
      <c r="L9" s="135"/>
      <c r="M9" s="20">
        <f>M10+M17</f>
        <v>32323.5</v>
      </c>
      <c r="N9" s="20">
        <f>N10+N17</f>
        <v>25902.369999999995</v>
      </c>
      <c r="O9" s="36">
        <f t="shared" si="3"/>
        <v>-6421.130000000005</v>
      </c>
      <c r="P9" s="56">
        <f>F9/M9*100</f>
        <v>854.4272742741349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276180.8</v>
      </c>
      <c r="G10" s="49">
        <f t="shared" si="0"/>
        <v>-11278.700000000012</v>
      </c>
      <c r="H10" s="40">
        <f aca="true" t="shared" si="4" ref="H10:H17">F10/E10*100</f>
        <v>96.07642120020385</v>
      </c>
      <c r="I10" s="56">
        <f t="shared" si="1"/>
        <v>-110832.40000000002</v>
      </c>
      <c r="J10" s="56">
        <f t="shared" si="2"/>
        <v>71.36211374702465</v>
      </c>
      <c r="K10" s="141">
        <f>F10-272674.4</f>
        <v>3506.399999999965</v>
      </c>
      <c r="L10" s="142">
        <f>F10/272674.4</f>
        <v>1.0128592929882672</v>
      </c>
      <c r="M10" s="40">
        <f>E10-серпень!E10</f>
        <v>32323.5</v>
      </c>
      <c r="N10" s="40">
        <f>F10-серпень!F10</f>
        <v>25902.369999999995</v>
      </c>
      <c r="O10" s="53">
        <f t="shared" si="3"/>
        <v>-6421.130000000005</v>
      </c>
      <c r="P10" s="56">
        <f aca="true" t="shared" si="5" ref="P10:P17">N10/M10*100</f>
        <v>80.13479357124072</v>
      </c>
      <c r="Q10" s="141">
        <f>N10-29967.1</f>
        <v>-4064.730000000003</v>
      </c>
      <c r="R10" s="142">
        <f>N10/29967.1</f>
        <v>0.8643602484057515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-415.95</v>
      </c>
      <c r="G19" s="49">
        <f t="shared" si="0"/>
        <v>-1472.55</v>
      </c>
      <c r="H19" s="40">
        <f aca="true" t="shared" si="6" ref="H19:H29">F19/E19*100</f>
        <v>-39.36683702441795</v>
      </c>
      <c r="I19" s="56">
        <f aca="true" t="shared" si="7" ref="I19:I29">F19-D19</f>
        <v>-1415.95</v>
      </c>
      <c r="J19" s="56">
        <f aca="true" t="shared" si="8" ref="J19:J29">F19/D19*100</f>
        <v>-41.595</v>
      </c>
      <c r="K19" s="167">
        <f>F19-6479.1</f>
        <v>-6895.05</v>
      </c>
      <c r="L19" s="168">
        <f>F19/6479.1</f>
        <v>-0.06419873130527387</v>
      </c>
      <c r="M19" s="40">
        <f>E19-серпень!E19</f>
        <v>11</v>
      </c>
      <c r="N19" s="40">
        <f>F19-серпень!F19</f>
        <v>-488.65999999999997</v>
      </c>
      <c r="O19" s="53">
        <f t="shared" si="3"/>
        <v>-499.65999999999997</v>
      </c>
      <c r="P19" s="56">
        <f aca="true" t="shared" si="9" ref="P19:P29">N19/M19*100</f>
        <v>-4442.363636363636</v>
      </c>
      <c r="Q19" s="56">
        <f>N19-362</f>
        <v>-850.66</v>
      </c>
      <c r="R19" s="135">
        <f>N19/362</f>
        <v>-1.349889502762431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84.12</v>
      </c>
      <c r="G29" s="49">
        <f t="shared" si="0"/>
        <v>-712.48</v>
      </c>
      <c r="H29" s="40">
        <f t="shared" si="6"/>
        <v>10.559879487823249</v>
      </c>
      <c r="I29" s="56">
        <f t="shared" si="7"/>
        <v>-845.88</v>
      </c>
      <c r="J29" s="56">
        <f t="shared" si="8"/>
        <v>9.045161290322582</v>
      </c>
      <c r="K29" s="148">
        <f>F29-2860</f>
        <v>-2775.88</v>
      </c>
      <c r="L29" s="149">
        <f>F29/2860</f>
        <v>0.029412587412587413</v>
      </c>
      <c r="M29" s="40">
        <f>E29-серпень!E29</f>
        <v>11</v>
      </c>
      <c r="N29" s="40">
        <f>F29-серпень!F29</f>
        <v>-489</v>
      </c>
      <c r="O29" s="148">
        <f t="shared" si="3"/>
        <v>-500</v>
      </c>
      <c r="P29" s="145">
        <f t="shared" si="9"/>
        <v>-4445.454545454545</v>
      </c>
      <c r="Q29" s="148">
        <f>N29-361.95</f>
        <v>-850.95</v>
      </c>
      <c r="R29" s="149">
        <f>N29/361.95</f>
        <v>-1.3510153336096147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57227.6</v>
      </c>
      <c r="G33" s="49">
        <f aca="true" t="shared" si="14" ref="G33:G72">F33-E33</f>
        <v>-474.5</v>
      </c>
      <c r="H33" s="40">
        <f aca="true" t="shared" si="15" ref="H33:H67">F33/E33*100</f>
        <v>99.17767290965148</v>
      </c>
      <c r="I33" s="56">
        <f>F33-D33</f>
        <v>-36338.4</v>
      </c>
      <c r="J33" s="56">
        <f aca="true" t="shared" si="16" ref="J33:J72">F33/D33*100</f>
        <v>61.16281555265801</v>
      </c>
      <c r="K33" s="141">
        <f>F33-60413.2</f>
        <v>-3185.5999999999985</v>
      </c>
      <c r="L33" s="142">
        <f>F33/60413.2</f>
        <v>0.9472698019638093</v>
      </c>
      <c r="M33" s="40">
        <f>E33-серпень!E33</f>
        <v>6401.309999999998</v>
      </c>
      <c r="N33" s="40">
        <f>F33-серпень!F33</f>
        <v>2934.8600000000006</v>
      </c>
      <c r="O33" s="53">
        <f t="shared" si="3"/>
        <v>-3466.449999999997</v>
      </c>
      <c r="P33" s="56">
        <f aca="true" t="shared" si="17" ref="P33:P67">N33/M33*100</f>
        <v>45.84780302781777</v>
      </c>
      <c r="Q33" s="141">
        <f>N33-6624.9</f>
        <v>-3690.039999999999</v>
      </c>
      <c r="R33" s="142">
        <f>N33/6624.9</f>
        <v>0.4430044227082674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42606.53</v>
      </c>
      <c r="G55" s="144">
        <f t="shared" si="14"/>
        <v>134.69000000000233</v>
      </c>
      <c r="H55" s="146">
        <f t="shared" si="15"/>
        <v>100.31712777218978</v>
      </c>
      <c r="I55" s="145">
        <f t="shared" si="18"/>
        <v>-27659.47</v>
      </c>
      <c r="J55" s="145">
        <f t="shared" si="16"/>
        <v>60.636054421768705</v>
      </c>
      <c r="K55" s="148">
        <f>F55-43813.51</f>
        <v>-1206.9800000000032</v>
      </c>
      <c r="L55" s="149">
        <f>F55/43813.51</f>
        <v>0.972451876145052</v>
      </c>
      <c r="M55" s="40">
        <f>E55-серпень!E55</f>
        <v>4681.3499999999985</v>
      </c>
      <c r="N55" s="40">
        <f>F55-серпень!F55</f>
        <v>2466.260000000002</v>
      </c>
      <c r="O55" s="148">
        <f t="shared" si="3"/>
        <v>-2215.0899999999965</v>
      </c>
      <c r="P55" s="148">
        <f t="shared" si="17"/>
        <v>52.68266632488498</v>
      </c>
      <c r="Q55" s="160">
        <f>N55-4961.43</f>
        <v>-2495.1699999999983</v>
      </c>
      <c r="R55" s="161">
        <f>N55/7961.43</f>
        <v>0.30977600757652857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v>4838.9</v>
      </c>
      <c r="G56" s="49">
        <f t="shared" si="14"/>
        <v>-274.60000000000036</v>
      </c>
      <c r="H56" s="40">
        <f t="shared" si="15"/>
        <v>94.62990124181088</v>
      </c>
      <c r="I56" s="56">
        <f t="shared" si="18"/>
        <v>-2021.1000000000004</v>
      </c>
      <c r="J56" s="56">
        <f t="shared" si="16"/>
        <v>70.53790087463557</v>
      </c>
      <c r="K56" s="56">
        <f>F56-4694.5</f>
        <v>144.39999999999964</v>
      </c>
      <c r="L56" s="135">
        <f>F56/4694.5</f>
        <v>1.0307593992970496</v>
      </c>
      <c r="M56" s="40">
        <f>E56-серпень!E56</f>
        <v>609.6000000000004</v>
      </c>
      <c r="N56" s="40">
        <f>F56-серпень!F56</f>
        <v>551.6099999999997</v>
      </c>
      <c r="O56" s="53">
        <f t="shared" si="3"/>
        <v>-57.99000000000069</v>
      </c>
      <c r="P56" s="56">
        <f t="shared" si="17"/>
        <v>90.48720472440934</v>
      </c>
      <c r="Q56" s="56">
        <f>N56-556.2</f>
        <v>-4.590000000000373</v>
      </c>
      <c r="R56" s="135">
        <f>N56/556.2</f>
        <v>0.9917475728155333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9673.460000000001</v>
      </c>
      <c r="G74" s="50">
        <f aca="true" t="shared" si="24" ref="G74:G92">F74-E74</f>
        <v>-2506.539999999999</v>
      </c>
      <c r="H74" s="51">
        <f aca="true" t="shared" si="25" ref="H74:H87">F74/E74*100</f>
        <v>79.4208538587849</v>
      </c>
      <c r="I74" s="36">
        <f aca="true" t="shared" si="26" ref="I74:I92">F74-D74</f>
        <v>-8684.839999999998</v>
      </c>
      <c r="J74" s="36">
        <f aca="true" t="shared" si="27" ref="J74:J92">F74/D74*100</f>
        <v>52.692569573435456</v>
      </c>
      <c r="K74" s="36">
        <f>F74-14585.4</f>
        <v>-4911.939999999999</v>
      </c>
      <c r="L74" s="136">
        <f>F74/14585.4</f>
        <v>0.6632289824070646</v>
      </c>
      <c r="M74" s="22">
        <f>M77+M86+M88+M89+M94+M95+M96+M97+M99+M87+M104</f>
        <v>1580.5</v>
      </c>
      <c r="N74" s="22">
        <f>N77+N86+N88+N89+N94+N95+N96+N97+N99+N32+N104+N87+N103</f>
        <v>1063.7299999999998</v>
      </c>
      <c r="O74" s="55">
        <f aca="true" t="shared" si="28" ref="O74:O92">N74-M74</f>
        <v>-516.7700000000002</v>
      </c>
      <c r="P74" s="36">
        <f>N74/M74*100</f>
        <v>67.30338500474532</v>
      </c>
      <c r="Q74" s="36">
        <f>N74-1622.9</f>
        <v>-559.1700000000003</v>
      </c>
      <c r="R74" s="136">
        <f>N74/1622.9</f>
        <v>0.6554501201552774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255.84</v>
      </c>
      <c r="G87" s="49">
        <f t="shared" si="24"/>
        <v>35.84</v>
      </c>
      <c r="H87" s="40">
        <f t="shared" si="25"/>
        <v>116.29090909090908</v>
      </c>
      <c r="I87" s="56">
        <f t="shared" si="26"/>
        <v>-244.16</v>
      </c>
      <c r="J87" s="56">
        <f t="shared" si="27"/>
        <v>51.168</v>
      </c>
      <c r="K87" s="56">
        <f>F87-210.3</f>
        <v>45.53999999999999</v>
      </c>
      <c r="L87" s="135">
        <f>F87/210.3</f>
        <v>1.2165477888730385</v>
      </c>
      <c r="M87" s="40">
        <f>E87-серпень!E87</f>
        <v>0</v>
      </c>
      <c r="N87" s="40">
        <f>F87-серпень!F87</f>
        <v>0.06999999999999318</v>
      </c>
      <c r="O87" s="53">
        <f t="shared" si="28"/>
        <v>0.06999999999999318</v>
      </c>
      <c r="P87" s="56" t="e">
        <f t="shared" si="29"/>
        <v>#DIV/0!</v>
      </c>
      <c r="Q87" s="56">
        <f>N87-12.4</f>
        <v>-12.330000000000007</v>
      </c>
      <c r="R87" s="135">
        <f>N87/12.4</f>
        <v>0.00564516129032203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</v>
      </c>
      <c r="G89" s="49">
        <f t="shared" si="24"/>
        <v>-31.099999999999994</v>
      </c>
      <c r="H89" s="40">
        <f>F89/E89*100</f>
        <v>75.89147286821706</v>
      </c>
      <c r="I89" s="56">
        <f t="shared" si="26"/>
        <v>-77.1</v>
      </c>
      <c r="J89" s="56">
        <f t="shared" si="27"/>
        <v>55.94285714285715</v>
      </c>
      <c r="K89" s="56">
        <f>F89-123.2</f>
        <v>-25.299999999999997</v>
      </c>
      <c r="L89" s="135">
        <f>F89/123.2</f>
        <v>0.7946428571428572</v>
      </c>
      <c r="M89" s="40">
        <f>E89-серпень!E89</f>
        <v>15</v>
      </c>
      <c r="N89" s="40">
        <f>F89-серпень!F89</f>
        <v>15.540000000000006</v>
      </c>
      <c r="O89" s="53">
        <f t="shared" si="28"/>
        <v>0.5400000000000063</v>
      </c>
      <c r="P89" s="56">
        <f>N89/M89*100</f>
        <v>103.60000000000005</v>
      </c>
      <c r="Q89" s="56">
        <f>N89-14.8</f>
        <v>0.7400000000000055</v>
      </c>
      <c r="R89" s="135">
        <f>N89/14.8</f>
        <v>1.0500000000000003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766.3</v>
      </c>
      <c r="G96" s="49">
        <f t="shared" si="31"/>
        <v>-28.200000000000045</v>
      </c>
      <c r="H96" s="40">
        <f>F96/E96*100</f>
        <v>96.45059786028949</v>
      </c>
      <c r="I96" s="56">
        <f t="shared" si="32"/>
        <v>-433.70000000000005</v>
      </c>
      <c r="J96" s="56">
        <f>F96/D96*100</f>
        <v>63.85833333333333</v>
      </c>
      <c r="K96" s="56">
        <f>F96-795.5</f>
        <v>-29.200000000000045</v>
      </c>
      <c r="L96" s="135">
        <f>F96/795.5</f>
        <v>0.9632935260842237</v>
      </c>
      <c r="M96" s="40">
        <f>E96-серпень!E96</f>
        <v>100</v>
      </c>
      <c r="N96" s="40">
        <f>F96-серпень!F96</f>
        <v>80.63999999999999</v>
      </c>
      <c r="O96" s="53">
        <f t="shared" si="33"/>
        <v>-19.360000000000014</v>
      </c>
      <c r="P96" s="56">
        <f>N96/M96*100</f>
        <v>80.63999999999999</v>
      </c>
      <c r="Q96" s="56">
        <f>N96-102.1</f>
        <v>-21.460000000000008</v>
      </c>
      <c r="R96" s="135">
        <f>N96/102.1</f>
        <v>0.7898139079333986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3040.4</v>
      </c>
      <c r="G99" s="49">
        <f t="shared" si="31"/>
        <v>33.40000000000009</v>
      </c>
      <c r="H99" s="40">
        <f>F99/E99*100</f>
        <v>101.1107416029265</v>
      </c>
      <c r="I99" s="56">
        <f t="shared" si="32"/>
        <v>-1532.2999999999997</v>
      </c>
      <c r="J99" s="56">
        <f>F99/D99*100</f>
        <v>66.49025739716143</v>
      </c>
      <c r="K99" s="56">
        <f>F99-3411.3</f>
        <v>-370.9000000000001</v>
      </c>
      <c r="L99" s="135">
        <f>F99/3411.3</f>
        <v>0.8912731216838156</v>
      </c>
      <c r="M99" s="40">
        <f>E99-серпень!E99</f>
        <v>410</v>
      </c>
      <c r="N99" s="40">
        <f>F99-серпень!F99</f>
        <v>337.74000000000024</v>
      </c>
      <c r="O99" s="53">
        <f t="shared" si="33"/>
        <v>-72.25999999999976</v>
      </c>
      <c r="P99" s="56">
        <f>N99/M99*100</f>
        <v>82.37560975609762</v>
      </c>
      <c r="Q99" s="56">
        <f>N99-432.2</f>
        <v>-94.45999999999975</v>
      </c>
      <c r="R99" s="135">
        <f>N99/432.2</f>
        <v>0.7814437760296165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753.7</v>
      </c>
      <c r="G102" s="144"/>
      <c r="H102" s="146"/>
      <c r="I102" s="145"/>
      <c r="J102" s="145"/>
      <c r="K102" s="148">
        <f>F102-545.2</f>
        <v>208.5</v>
      </c>
      <c r="L102" s="149">
        <f>F102/545.2</f>
        <v>1.3824284666177549</v>
      </c>
      <c r="M102" s="40">
        <f>E102-серпень!E102</f>
        <v>0</v>
      </c>
      <c r="N102" s="40">
        <f>F102-серпень!F102</f>
        <v>117.90000000000009</v>
      </c>
      <c r="O102" s="53"/>
      <c r="P102" s="60"/>
      <c r="Q102" s="60">
        <f>N102-124.1</f>
        <v>-6.199999999999903</v>
      </c>
      <c r="R102" s="138">
        <f>N102/124.1</f>
        <v>0.950040290088639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-47.980000000000004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17.52</v>
      </c>
      <c r="G105" s="49">
        <f>F105-E105</f>
        <v>-6.68</v>
      </c>
      <c r="H105" s="40">
        <f>F105/E105*100</f>
        <v>72.39669421487604</v>
      </c>
      <c r="I105" s="56">
        <f t="shared" si="34"/>
        <v>-27.48</v>
      </c>
      <c r="J105" s="56">
        <f aca="true" t="shared" si="36" ref="J105:J110">F105/D105*100</f>
        <v>38.93333333333333</v>
      </c>
      <c r="K105" s="56">
        <f>F105-13.4</f>
        <v>4.119999999999999</v>
      </c>
      <c r="L105" s="135">
        <f>F105/13.4</f>
        <v>1.3074626865671641</v>
      </c>
      <c r="M105" s="40">
        <f>E105-серпень!E105</f>
        <v>3</v>
      </c>
      <c r="N105" s="40">
        <f>F105-серпень!F105</f>
        <v>0.28999999999999915</v>
      </c>
      <c r="O105" s="53">
        <f t="shared" si="35"/>
        <v>-2.710000000000001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347527.3</v>
      </c>
      <c r="G107" s="50">
        <f>F107-E107</f>
        <v>-16035.699999999953</v>
      </c>
      <c r="H107" s="51">
        <f>F107/E107*100</f>
        <v>95.58929263979009</v>
      </c>
      <c r="I107" s="36">
        <f t="shared" si="34"/>
        <v>-159352.3</v>
      </c>
      <c r="J107" s="36">
        <f t="shared" si="36"/>
        <v>68.5621003488797</v>
      </c>
      <c r="K107" s="36">
        <f>F107-358888.5</f>
        <v>-11361.200000000012</v>
      </c>
      <c r="L107" s="136">
        <f>F107/358888.5</f>
        <v>0.9683433712699069</v>
      </c>
      <c r="M107" s="22">
        <f>M8+M74+M105+M106</f>
        <v>40928.909999999996</v>
      </c>
      <c r="N107" s="22">
        <f>N8+N74+N105+N106</f>
        <v>29964.199999999997</v>
      </c>
      <c r="O107" s="55">
        <f t="shared" si="35"/>
        <v>-10964.71</v>
      </c>
      <c r="P107" s="36">
        <f>N107/M107*100</f>
        <v>73.2103542459352</v>
      </c>
      <c r="Q107" s="36">
        <f>N107-39133.2</f>
        <v>-9169</v>
      </c>
      <c r="R107" s="136">
        <f>N107/39133.2</f>
        <v>0.7656976684758722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276947.1</v>
      </c>
      <c r="G108" s="71">
        <f>G10-G18+G96</f>
        <v>-11306.900000000012</v>
      </c>
      <c r="H108" s="72">
        <f>F108/E108*100</f>
        <v>96.07745252450962</v>
      </c>
      <c r="I108" s="52">
        <f t="shared" si="34"/>
        <v>-111266.10000000003</v>
      </c>
      <c r="J108" s="52">
        <f t="shared" si="36"/>
        <v>71.33891892393149</v>
      </c>
      <c r="K108" s="52">
        <f>F108-273558.9</f>
        <v>3388.1999999999534</v>
      </c>
      <c r="L108" s="137">
        <f>F108/273558.9</f>
        <v>1.0123856324908456</v>
      </c>
      <c r="M108" s="71">
        <f>M10-M18+M96</f>
        <v>32423.5</v>
      </c>
      <c r="N108" s="71">
        <f>N10-N18+N96</f>
        <v>25983.009999999995</v>
      </c>
      <c r="O108" s="53">
        <f t="shared" si="35"/>
        <v>-6440.490000000005</v>
      </c>
      <c r="P108" s="52">
        <f>N108/M108*100</f>
        <v>80.13635172020292</v>
      </c>
      <c r="Q108" s="52">
        <f>N108-30069.2</f>
        <v>-4086.190000000006</v>
      </c>
      <c r="R108" s="137">
        <f>N108/30069.2</f>
        <v>0.864107126228832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70580.20000000001</v>
      </c>
      <c r="G109" s="62">
        <f>F109-E109</f>
        <v>-4728.79999999993</v>
      </c>
      <c r="H109" s="72">
        <f>F109/E109*100</f>
        <v>93.7208036224091</v>
      </c>
      <c r="I109" s="52">
        <f t="shared" si="34"/>
        <v>-48086.19999999995</v>
      </c>
      <c r="J109" s="52">
        <f t="shared" si="36"/>
        <v>59.4778302872591</v>
      </c>
      <c r="K109" s="52">
        <f>F109-85329.7</f>
        <v>-14749.499999999985</v>
      </c>
      <c r="L109" s="137">
        <f>F109/85329.7</f>
        <v>0.827146937115682</v>
      </c>
      <c r="M109" s="71">
        <f>M107-M108</f>
        <v>8505.409999999996</v>
      </c>
      <c r="N109" s="71">
        <f>N107-N108</f>
        <v>3981.1900000000023</v>
      </c>
      <c r="O109" s="53">
        <f t="shared" si="35"/>
        <v>-4524.219999999994</v>
      </c>
      <c r="P109" s="52">
        <f>N109/M109*100</f>
        <v>46.80773766344014</v>
      </c>
      <c r="Q109" s="52">
        <f>N109-9064</f>
        <v>-5082.809999999998</v>
      </c>
      <c r="R109" s="137">
        <f>N109/9064</f>
        <v>0.43923102383053864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276947.1</v>
      </c>
      <c r="G110" s="111">
        <f>F110-E110</f>
        <v>-5937</v>
      </c>
      <c r="H110" s="72">
        <f>F110/E110*100</f>
        <v>97.90126062228312</v>
      </c>
      <c r="I110" s="81">
        <f t="shared" si="34"/>
        <v>-111266.10000000003</v>
      </c>
      <c r="J110" s="52">
        <f t="shared" si="36"/>
        <v>71.33891892393149</v>
      </c>
      <c r="K110" s="52"/>
      <c r="L110" s="137"/>
      <c r="M110" s="72">
        <f>E110-серпень!E110</f>
        <v>32423.49999999997</v>
      </c>
      <c r="N110" s="71">
        <f>N108</f>
        <v>25983.009999999995</v>
      </c>
      <c r="O110" s="63">
        <f t="shared" si="35"/>
        <v>-6440.489999999976</v>
      </c>
      <c r="P110" s="52">
        <f>N110/M110*100</f>
        <v>80.136351720203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1094.7</v>
      </c>
      <c r="G115" s="49">
        <f t="shared" si="37"/>
        <v>-1584.8999999999999</v>
      </c>
      <c r="H115" s="40">
        <f aca="true" t="shared" si="39" ref="H115:H126">F115/E115*100</f>
        <v>40.853112404836544</v>
      </c>
      <c r="I115" s="60">
        <f t="shared" si="38"/>
        <v>-2576.8</v>
      </c>
      <c r="J115" s="60">
        <f aca="true" t="shared" si="40" ref="J115:J121">F115/D115*100</f>
        <v>29.816151436742476</v>
      </c>
      <c r="K115" s="60">
        <f>F115-3077.6</f>
        <v>-1982.8999999999999</v>
      </c>
      <c r="L115" s="138">
        <f>F115/3077.6</f>
        <v>0.35569924616584353</v>
      </c>
      <c r="M115" s="40">
        <f>E115-серпень!E115</f>
        <v>327.5</v>
      </c>
      <c r="N115" s="40">
        <f>F115-серпень!F115</f>
        <v>109.18000000000006</v>
      </c>
      <c r="O115" s="53">
        <f aca="true" t="shared" si="41" ref="O115:O126">N115-M115</f>
        <v>-218.31999999999994</v>
      </c>
      <c r="P115" s="60">
        <f>N115/M115*100</f>
        <v>33.33740458015269</v>
      </c>
      <c r="Q115" s="60">
        <f>N115-150.5</f>
        <v>-41.319999999999936</v>
      </c>
      <c r="R115" s="138">
        <f>N115/150.5</f>
        <v>0.7254485049833891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236.19</v>
      </c>
      <c r="G116" s="49">
        <f t="shared" si="37"/>
        <v>35.69</v>
      </c>
      <c r="H116" s="40">
        <f t="shared" si="39"/>
        <v>117.8004987531172</v>
      </c>
      <c r="I116" s="60">
        <f t="shared" si="38"/>
        <v>-31.910000000000025</v>
      </c>
      <c r="J116" s="60">
        <f t="shared" si="40"/>
        <v>88.0977247295785</v>
      </c>
      <c r="K116" s="60">
        <f>F116-200.1</f>
        <v>36.09</v>
      </c>
      <c r="L116" s="138">
        <f>F116/200.1</f>
        <v>1.180359820089955</v>
      </c>
      <c r="M116" s="40">
        <f>E116-серпень!E116</f>
        <v>22</v>
      </c>
      <c r="N116" s="40">
        <f>F116-серпень!F116</f>
        <v>28.870000000000005</v>
      </c>
      <c r="O116" s="53">
        <f t="shared" si="41"/>
        <v>6.8700000000000045</v>
      </c>
      <c r="P116" s="60">
        <f>N116/M116*100</f>
        <v>131.22727272727275</v>
      </c>
      <c r="Q116" s="60">
        <f>N116-24.4</f>
        <v>4.470000000000006</v>
      </c>
      <c r="R116" s="138">
        <f>N116/24.4</f>
        <v>1.1831967213114756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1330.15</v>
      </c>
      <c r="G117" s="62">
        <f t="shared" si="37"/>
        <v>-1549.9499999999998</v>
      </c>
      <c r="H117" s="72">
        <f t="shared" si="39"/>
        <v>46.18416027221278</v>
      </c>
      <c r="I117" s="61">
        <f t="shared" si="38"/>
        <v>-2609.45</v>
      </c>
      <c r="J117" s="61">
        <f t="shared" si="40"/>
        <v>33.76358005888923</v>
      </c>
      <c r="K117" s="61">
        <f>F117-3299.2</f>
        <v>-1969.0499999999997</v>
      </c>
      <c r="L117" s="139">
        <f>F117/3299.2</f>
        <v>0.40317349660523766</v>
      </c>
      <c r="M117" s="62">
        <f>M115+M116+M114</f>
        <v>349.5</v>
      </c>
      <c r="N117" s="38">
        <f>SUM(N114:N116)</f>
        <v>138.27000000000007</v>
      </c>
      <c r="O117" s="61">
        <f t="shared" si="41"/>
        <v>-211.22999999999993</v>
      </c>
      <c r="P117" s="61">
        <f>N117/M117*100</f>
        <v>39.562231759656676</v>
      </c>
      <c r="Q117" s="61">
        <f>N117-175.8</f>
        <v>-37.529999999999944</v>
      </c>
      <c r="R117" s="139">
        <f>N117/175.8</f>
        <v>0.7865187713310583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295.6</v>
      </c>
      <c r="G119" s="49">
        <f t="shared" si="37"/>
        <v>108.10000000000002</v>
      </c>
      <c r="H119" s="40">
        <f t="shared" si="39"/>
        <v>157.65333333333336</v>
      </c>
      <c r="I119" s="60">
        <f t="shared" si="38"/>
        <v>28.400000000000034</v>
      </c>
      <c r="J119" s="60">
        <f t="shared" si="40"/>
        <v>110.62874251497009</v>
      </c>
      <c r="K119" s="60">
        <f>F119-174.4</f>
        <v>121.20000000000002</v>
      </c>
      <c r="L119" s="138">
        <f>F119/174.4</f>
        <v>1.694954128440367</v>
      </c>
      <c r="M119" s="40">
        <f>E119-серпень!E119</f>
        <v>5</v>
      </c>
      <c r="N119" s="40">
        <f>F119-серпень!F119</f>
        <v>6.800000000000011</v>
      </c>
      <c r="O119" s="53">
        <f>N119-M119</f>
        <v>1.8000000000000114</v>
      </c>
      <c r="P119" s="60">
        <f>N119/M119*100</f>
        <v>136.00000000000023</v>
      </c>
      <c r="Q119" s="60">
        <f>N119-1.4</f>
        <v>5.400000000000011</v>
      </c>
      <c r="R119" s="138">
        <f>N119/1.4</f>
        <v>4.857142857142866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59216.8</v>
      </c>
      <c r="G120" s="49">
        <f t="shared" si="37"/>
        <v>6704.200000000004</v>
      </c>
      <c r="H120" s="40">
        <f t="shared" si="39"/>
        <v>112.76684072013194</v>
      </c>
      <c r="I120" s="53">
        <f t="shared" si="38"/>
        <v>-12759.190000000002</v>
      </c>
      <c r="J120" s="60">
        <f t="shared" si="40"/>
        <v>82.2729913127975</v>
      </c>
      <c r="K120" s="60">
        <f>F120-50659.1</f>
        <v>8557.700000000004</v>
      </c>
      <c r="L120" s="138">
        <f>F120/50659.1</f>
        <v>1.168927201628138</v>
      </c>
      <c r="M120" s="40">
        <f>E120-серпень!E120</f>
        <v>3100</v>
      </c>
      <c r="N120" s="40">
        <f>F120-серпень!F120</f>
        <v>3102.1700000000055</v>
      </c>
      <c r="O120" s="53">
        <f t="shared" si="41"/>
        <v>2.1700000000055297</v>
      </c>
      <c r="P120" s="60">
        <f aca="true" t="shared" si="42" ref="P120:P125">N120/M120*100</f>
        <v>100.07000000000016</v>
      </c>
      <c r="Q120" s="60">
        <f>N120-3034.9</f>
        <v>67.27000000000544</v>
      </c>
      <c r="R120" s="138">
        <f>N120/3034.9</f>
        <v>1.0221654749744655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2358.2</v>
      </c>
      <c r="G122" s="49">
        <f t="shared" si="37"/>
        <v>-10569.23</v>
      </c>
      <c r="H122" s="40">
        <f t="shared" si="39"/>
        <v>18.241831516395756</v>
      </c>
      <c r="I122" s="60">
        <f t="shared" si="38"/>
        <v>-20718.93</v>
      </c>
      <c r="J122" s="60">
        <f>F122/D122*100</f>
        <v>10.218775038317157</v>
      </c>
      <c r="K122" s="60">
        <f>F122-22303.9</f>
        <v>-19945.7</v>
      </c>
      <c r="L122" s="138">
        <f>F122/22303.9</f>
        <v>0.10573038795905647</v>
      </c>
      <c r="M122" s="40">
        <f>E122-серпень!E122</f>
        <v>3313.4299999999985</v>
      </c>
      <c r="N122" s="40">
        <f>F122-серпень!F122</f>
        <v>66.40999999999985</v>
      </c>
      <c r="O122" s="53">
        <f t="shared" si="41"/>
        <v>-3247.0199999999986</v>
      </c>
      <c r="P122" s="60">
        <f t="shared" si="42"/>
        <v>2.0042674811298227</v>
      </c>
      <c r="Q122" s="60">
        <f>N122-7566.7</f>
        <v>-7500.29</v>
      </c>
      <c r="R122" s="138">
        <f>N122/7566.7</f>
        <v>0.008776613318884038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974.9</v>
      </c>
      <c r="G123" s="49">
        <f t="shared" si="37"/>
        <v>-456.32000000000005</v>
      </c>
      <c r="H123" s="40">
        <f t="shared" si="39"/>
        <v>68.11671161666271</v>
      </c>
      <c r="I123" s="60">
        <f t="shared" si="38"/>
        <v>-1025.1</v>
      </c>
      <c r="J123" s="60">
        <f>F123/D123*100</f>
        <v>48.745</v>
      </c>
      <c r="K123" s="60">
        <f>F123-1660.3</f>
        <v>-685.4</v>
      </c>
      <c r="L123" s="138">
        <f>F123/1660.3</f>
        <v>0.5871830392097813</v>
      </c>
      <c r="M123" s="40">
        <f>E123-серпень!E123</f>
        <v>189.58999999999992</v>
      </c>
      <c r="N123" s="40">
        <f>F123-серпень!F123</f>
        <v>110.27999999999997</v>
      </c>
      <c r="O123" s="53">
        <f t="shared" si="41"/>
        <v>-79.30999999999995</v>
      </c>
      <c r="P123" s="60">
        <f t="shared" si="42"/>
        <v>58.1676248747297</v>
      </c>
      <c r="Q123" s="60">
        <f>N123-20.2</f>
        <v>90.07999999999997</v>
      </c>
      <c r="R123" s="138">
        <f>N123/20.2</f>
        <v>5.459405940594058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64600.23</v>
      </c>
      <c r="G124" s="62">
        <f t="shared" si="37"/>
        <v>-4181.519999999997</v>
      </c>
      <c r="H124" s="72">
        <f t="shared" si="39"/>
        <v>93.92059666990154</v>
      </c>
      <c r="I124" s="61">
        <f t="shared" si="38"/>
        <v>-37470.090000000004</v>
      </c>
      <c r="J124" s="61">
        <f>F124/D124*100</f>
        <v>63.289926003954925</v>
      </c>
      <c r="K124" s="61">
        <f>F124-76087.4</f>
        <v>-11487.169999999991</v>
      </c>
      <c r="L124" s="139">
        <f>F124/76087.4</f>
        <v>0.8490266456732654</v>
      </c>
      <c r="M124" s="62">
        <f>M120+M121+M122+M123+M119</f>
        <v>6608.019999999999</v>
      </c>
      <c r="N124" s="62">
        <f>N120+N121+N122+N123+N119</f>
        <v>3285.7100000000055</v>
      </c>
      <c r="O124" s="61">
        <f t="shared" si="41"/>
        <v>-3322.309999999993</v>
      </c>
      <c r="P124" s="61">
        <f t="shared" si="42"/>
        <v>49.7230637921799</v>
      </c>
      <c r="Q124" s="61">
        <f>N124-10790.5</f>
        <v>-7504.7899999999945</v>
      </c>
      <c r="R124" s="139">
        <f>N124/10790.5</f>
        <v>0.3045002548538071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24.2</v>
      </c>
      <c r="G125" s="49">
        <f t="shared" si="37"/>
        <v>-2.960000000000001</v>
      </c>
      <c r="H125" s="40">
        <f t="shared" si="39"/>
        <v>89.10162002945508</v>
      </c>
      <c r="I125" s="60">
        <f t="shared" si="38"/>
        <v>-19.3</v>
      </c>
      <c r="J125" s="60">
        <f>F125/D125*100</f>
        <v>55.632183908045974</v>
      </c>
      <c r="K125" s="60">
        <f>F125-111.8</f>
        <v>-87.6</v>
      </c>
      <c r="L125" s="138">
        <f>F125/111.8</f>
        <v>0.21645796064400716</v>
      </c>
      <c r="M125" s="40">
        <f>E125-серпень!E125</f>
        <v>4</v>
      </c>
      <c r="N125" s="40">
        <f>F125-серпень!F125</f>
        <v>10.03</v>
      </c>
      <c r="O125" s="53">
        <f t="shared" si="41"/>
        <v>6.029999999999999</v>
      </c>
      <c r="P125" s="60">
        <f t="shared" si="42"/>
        <v>250.74999999999997</v>
      </c>
      <c r="Q125" s="60">
        <f>N125-0</f>
        <v>10.03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</v>
      </c>
      <c r="G128" s="49">
        <f aca="true" t="shared" si="43" ref="G128:G135">F128-E128</f>
        <v>650.3000000000002</v>
      </c>
      <c r="H128" s="40">
        <f>F128/E128*100</f>
        <v>109.679243878842</v>
      </c>
      <c r="I128" s="60">
        <f aca="true" t="shared" si="44" ref="I128:I135">F128-D128</f>
        <v>-1331.1999999999998</v>
      </c>
      <c r="J128" s="60">
        <f>F128/D128*100</f>
        <v>84.69885057471265</v>
      </c>
      <c r="K128" s="60">
        <f>F128-8715.2</f>
        <v>-1346.4000000000005</v>
      </c>
      <c r="L128" s="138">
        <f>F128/8715.2</f>
        <v>0.8455112906186891</v>
      </c>
      <c r="M128" s="40">
        <f>E128-серпень!E128</f>
        <v>1</v>
      </c>
      <c r="N128" s="40">
        <f>F128-серпень!F128</f>
        <v>5.279999999999745</v>
      </c>
      <c r="O128" s="53">
        <f aca="true" t="shared" si="45" ref="O128:O135">N128-M128</f>
        <v>4.279999999999745</v>
      </c>
      <c r="P128" s="60">
        <f>N128/M128*100</f>
        <v>527.9999999999745</v>
      </c>
      <c r="Q128" s="60">
        <f>N128-35</f>
        <v>-29.720000000000255</v>
      </c>
      <c r="R128" s="162">
        <f>N128/35</f>
        <v>0.15085714285713558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7413.37</v>
      </c>
      <c r="G130" s="62">
        <f t="shared" si="43"/>
        <v>660.5100000000002</v>
      </c>
      <c r="H130" s="72">
        <f>F130/E130*100</f>
        <v>109.7811890073243</v>
      </c>
      <c r="I130" s="61">
        <f t="shared" si="44"/>
        <v>-1337.3300000000008</v>
      </c>
      <c r="J130" s="61">
        <f>F130/D130*100</f>
        <v>84.71745117533453</v>
      </c>
      <c r="K130" s="61">
        <f>F130-8836.4</f>
        <v>-1423.0299999999997</v>
      </c>
      <c r="L130" s="139">
        <f>G130/8836.4</f>
        <v>0.07474876646598165</v>
      </c>
      <c r="M130" s="62">
        <f>M125+M128+M129+M127</f>
        <v>5</v>
      </c>
      <c r="N130" s="62">
        <f>N125+N128+N129+N127</f>
        <v>15.349999999999746</v>
      </c>
      <c r="O130" s="61">
        <f t="shared" si="45"/>
        <v>10.349999999999746</v>
      </c>
      <c r="P130" s="61">
        <f>N130/M130*100</f>
        <v>306.99999999999494</v>
      </c>
      <c r="Q130" s="61">
        <f>N130-35.8</f>
        <v>-20.45000000000025</v>
      </c>
      <c r="R130" s="137">
        <f>N130/35.8</f>
        <v>0.4287709497206633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24</v>
      </c>
      <c r="G131" s="49">
        <f>F131-E131</f>
        <v>0.5500000000000007</v>
      </c>
      <c r="H131" s="40">
        <f>F131/E131*100</f>
        <v>102.3454157782516</v>
      </c>
      <c r="I131" s="60">
        <f>F131-D131</f>
        <v>-6</v>
      </c>
      <c r="J131" s="60">
        <f>F131/D131*100</f>
        <v>80</v>
      </c>
      <c r="K131" s="60">
        <f>F131-25.4</f>
        <v>-1.3999999999999986</v>
      </c>
      <c r="L131" s="138">
        <f>F131/25.4</f>
        <v>0.9448818897637796</v>
      </c>
      <c r="M131" s="40">
        <f>E131-серпень!E131</f>
        <v>7</v>
      </c>
      <c r="N131" s="40">
        <f>F131-серпень!F131</f>
        <v>1.379999999999999</v>
      </c>
      <c r="O131" s="53">
        <f>N131-M131</f>
        <v>-5.620000000000001</v>
      </c>
      <c r="P131" s="60">
        <f>N131/M131*100</f>
        <v>19.7142857142857</v>
      </c>
      <c r="Q131" s="60">
        <f>N131-7.6</f>
        <v>-6.220000000000001</v>
      </c>
      <c r="R131" s="138">
        <f>N131/7.6</f>
        <v>0.18157894736842092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73367.75</v>
      </c>
      <c r="G134" s="50">
        <f t="shared" si="43"/>
        <v>-5070.4100000000035</v>
      </c>
      <c r="H134" s="51">
        <f>F134/E134*100</f>
        <v>93.53578666302218</v>
      </c>
      <c r="I134" s="36">
        <f t="shared" si="44"/>
        <v>-41422.87000000001</v>
      </c>
      <c r="J134" s="36">
        <f>F134/D134*100</f>
        <v>63.91441217061114</v>
      </c>
      <c r="K134" s="36">
        <f>F134-88248.3</f>
        <v>-14880.550000000003</v>
      </c>
      <c r="L134" s="136">
        <f>F134/88248.3</f>
        <v>0.8313786214578638</v>
      </c>
      <c r="M134" s="31">
        <f>M117+M131+M124+M130+M133+M132</f>
        <v>6969.519999999999</v>
      </c>
      <c r="N134" s="31">
        <f>N117+N131+N124+N130+N133+N132</f>
        <v>3440.7100000000055</v>
      </c>
      <c r="O134" s="36">
        <f t="shared" si="45"/>
        <v>-3528.809999999993</v>
      </c>
      <c r="P134" s="36">
        <f>N134/M134*100</f>
        <v>49.36796221260584</v>
      </c>
      <c r="Q134" s="36">
        <f>N134-11009.7</f>
        <v>-7568.989999999995</v>
      </c>
      <c r="R134" s="136">
        <f>N134/11009.7</f>
        <v>0.31251623568307996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442001.1599999999</v>
      </c>
      <c r="F135" s="31">
        <f>F107+F134</f>
        <v>420895.05</v>
      </c>
      <c r="G135" s="50">
        <f t="shared" si="43"/>
        <v>-21106.109999999928</v>
      </c>
      <c r="H135" s="51">
        <f>F135/E135*100</f>
        <v>95.22487452295375</v>
      </c>
      <c r="I135" s="36">
        <f t="shared" si="44"/>
        <v>-200775.16999999998</v>
      </c>
      <c r="J135" s="36">
        <f>F135/D135*100</f>
        <v>67.70391060392116</v>
      </c>
      <c r="K135" s="36">
        <f>F135-447136.8</f>
        <v>-26241.75</v>
      </c>
      <c r="L135" s="136">
        <f>F135/447136.8</f>
        <v>0.9413115851793008</v>
      </c>
      <c r="M135" s="22">
        <f>M107+M134</f>
        <v>47898.42999999999</v>
      </c>
      <c r="N135" s="22">
        <f>N107+N134</f>
        <v>33404.91</v>
      </c>
      <c r="O135" s="36">
        <f t="shared" si="45"/>
        <v>-14493.51999999999</v>
      </c>
      <c r="P135" s="36">
        <f>N135/M135*100</f>
        <v>69.74113765315482</v>
      </c>
      <c r="Q135" s="36">
        <f>N135-50142.9</f>
        <v>-16737.989999999998</v>
      </c>
      <c r="R135" s="136">
        <f>N135/50142.9</f>
        <v>0.6661942169280197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3</v>
      </c>
      <c r="D137" s="4" t="s">
        <v>118</v>
      </c>
    </row>
    <row r="138" spans="2:17" ht="31.5">
      <c r="B138" s="78" t="s">
        <v>154</v>
      </c>
      <c r="C138" s="39">
        <f>IF(O107&lt;0,ABS(O107/C137),0)</f>
        <v>3654.903333333333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41907</v>
      </c>
      <c r="D139" s="39">
        <v>1185.9</v>
      </c>
      <c r="N139" s="209"/>
      <c r="O139" s="209"/>
    </row>
    <row r="140" spans="3:15" ht="15.75">
      <c r="C140" s="120">
        <v>41906</v>
      </c>
      <c r="D140" s="39">
        <v>551.4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41905</v>
      </c>
      <c r="D141" s="39">
        <v>1894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'[1]залишки  (2)'!$G$6/1000</f>
        <v>121153.17302</v>
      </c>
      <c r="E143" s="80"/>
      <c r="F143" s="100" t="s">
        <v>147</v>
      </c>
      <c r="G143" s="210" t="s">
        <v>149</v>
      </c>
      <c r="H143" s="210"/>
      <c r="I143" s="116">
        <f>'[1]залишки  (2)'!$G$10/1000</f>
        <v>112132.57648999999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'[1]надх'!$B$52/1000</f>
        <v>10635.06281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10635.06281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2014-09-26T07:23:43Z</cp:lastPrinted>
  <dcterms:created xsi:type="dcterms:W3CDTF">2003-07-28T11:27:56Z</dcterms:created>
  <dcterms:modified xsi:type="dcterms:W3CDTF">2014-09-26T07:24:00Z</dcterms:modified>
  <cp:category/>
  <cp:version/>
  <cp:contentType/>
  <cp:contentStatus/>
</cp:coreProperties>
</file>